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 SOL SONIA\Per RPCT\31.05.2021\"/>
    </mc:Choice>
  </mc:AlternateContent>
  <xr:revisionPtr revIDLastSave="0" documentId="13_ncr:1_{727745FF-904E-4948-90CF-1C3FC2D2A0A9}" xr6:coauthVersionLast="46" xr6:coauthVersionMax="46" xr10:uidLastSave="{00000000-0000-0000-0000-000000000000}"/>
  <bookViews>
    <workbookView xWindow="3150" yWindow="1305" windowWidth="18375" windowHeight="14295" firstSheet="2" activeTab="2" xr2:uid="{00000000-000D-0000-FFFF-FFFF00000000}"/>
  </bookViews>
  <sheets>
    <sheet name="ELENCO SPESA SERVIZI I TRIM'21" sheetId="3" state="hidden" r:id="rId1"/>
    <sheet name="ELENCO SPESA SERVIZI II SEM'20 " sheetId="2" state="hidden" r:id="rId2"/>
    <sheet name="ELENCO SPESA SERVIZI I SEM'20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3" l="1"/>
  <c r="B14" i="2"/>
  <c r="B13" i="3"/>
  <c r="B12" i="3"/>
  <c r="B11" i="3"/>
  <c r="E24" i="3"/>
  <c r="E27" i="3"/>
  <c r="E17" i="3"/>
  <c r="D38" i="3"/>
  <c r="D37" i="3"/>
  <c r="C38" i="3"/>
  <c r="B24" i="3"/>
  <c r="B22" i="3"/>
  <c r="B21" i="3"/>
  <c r="B40" i="3" s="1"/>
  <c r="B20" i="3"/>
  <c r="B19" i="3"/>
  <c r="B18" i="3"/>
  <c r="B17" i="3"/>
  <c r="D40" i="3"/>
  <c r="C40" i="3"/>
  <c r="E40" i="3"/>
  <c r="B13" i="2"/>
  <c r="B12" i="2"/>
  <c r="B5" i="2"/>
  <c r="B4" i="2"/>
  <c r="B3" i="2"/>
  <c r="E24" i="2"/>
  <c r="E22" i="2"/>
  <c r="E21" i="2"/>
  <c r="E19" i="2"/>
  <c r="E18" i="2"/>
  <c r="E17" i="2"/>
  <c r="B40" i="2"/>
  <c r="C40" i="2"/>
  <c r="D40" i="2"/>
  <c r="C37" i="2"/>
  <c r="C38" i="2"/>
  <c r="B36" i="2"/>
  <c r="B35" i="2"/>
  <c r="B34" i="2"/>
  <c r="B32" i="2"/>
  <c r="B29" i="2"/>
  <c r="B27" i="2"/>
  <c r="B26" i="2"/>
  <c r="B25" i="2"/>
  <c r="B24" i="2"/>
  <c r="B23" i="2"/>
  <c r="B22" i="2"/>
  <c r="B21" i="2"/>
  <c r="B20" i="2"/>
  <c r="B19" i="2"/>
  <c r="B18" i="2"/>
  <c r="B17" i="2"/>
  <c r="D38" i="2"/>
  <c r="D37" i="2"/>
  <c r="B11" i="2"/>
  <c r="B12" i="1"/>
  <c r="B11" i="1"/>
  <c r="B13" i="1"/>
  <c r="B4" i="1"/>
  <c r="B5" i="1"/>
  <c r="D36" i="1"/>
  <c r="D38" i="1" s="1"/>
  <c r="C36" i="1"/>
  <c r="B36" i="1"/>
  <c r="C35" i="1"/>
  <c r="C38" i="1" s="1"/>
  <c r="D35" i="1"/>
  <c r="E17" i="1"/>
  <c r="E38" i="1" s="1"/>
  <c r="E18" i="1"/>
  <c r="E24" i="1"/>
  <c r="B20" i="1"/>
  <c r="B18" i="1"/>
  <c r="B24" i="1"/>
  <c r="E40" i="2" l="1"/>
  <c r="B38" i="1"/>
</calcChain>
</file>

<file path=xl/sharedStrings.xml><?xml version="1.0" encoding="utf-8"?>
<sst xmlns="http://schemas.openxmlformats.org/spreadsheetml/2006/main" count="121" uniqueCount="45">
  <si>
    <t>SERVIZIO</t>
  </si>
  <si>
    <t>ASSISTENZA DOMICILIARE INTEGRATA</t>
  </si>
  <si>
    <t>CENTRO SERVIZI IMMIGRATI</t>
  </si>
  <si>
    <t>SEGRETARIATO SOCIALE</t>
  </si>
  <si>
    <t>PUNTO UNICO ACCESSO</t>
  </si>
  <si>
    <t>HOME CARE PREMIUM 2014</t>
  </si>
  <si>
    <t>Costi per materie prime, sussidiarie, di consumo e di merci</t>
  </si>
  <si>
    <t>Costi per servizi</t>
  </si>
  <si>
    <t>Costi godimento beni di terzi</t>
  </si>
  <si>
    <t>Costi per il personale:</t>
  </si>
  <si>
    <t>b) oneri sociali</t>
  </si>
  <si>
    <t>c) trattamento di fine rapporto</t>
  </si>
  <si>
    <t>d) altri costi</t>
  </si>
  <si>
    <t>Ammortamenti e svalutazioni</t>
  </si>
  <si>
    <t>Variazioni rimanenze , sussidiarie, di consumo e di merci</t>
  </si>
  <si>
    <t>Oneri diversi di gestione</t>
  </si>
  <si>
    <t>TOTALE</t>
  </si>
  <si>
    <t>SALARI E STIPENDI</t>
  </si>
  <si>
    <t>ALTRI COSTI</t>
  </si>
  <si>
    <t>TRASPORTO ALUNNI DISABILI, SOCIALE,</t>
  </si>
  <si>
    <t>CENTRO RAGAZZI 2000, RETE INVECCHIAMENTO ATTIVO, LUDOTECA</t>
  </si>
  <si>
    <t xml:space="preserve">ASSISTENZA DOMICILIARE. ANZIANI </t>
  </si>
  <si>
    <t>ASSISTENZA DOMICILIARE DISABILI</t>
  </si>
  <si>
    <t>INTEGRAZIONE SOCIALE</t>
  </si>
  <si>
    <t>CENTRO FAMIGLIA</t>
  </si>
  <si>
    <t>INFORMAGIOVANI</t>
  </si>
  <si>
    <t>UNITA VALUTAZIONE MULTIDISCIPLINARE</t>
  </si>
  <si>
    <t>CENTRO RAGAZZI DEL MURETTO</t>
  </si>
  <si>
    <t>ASSISTENZA SPECIALISTICA SCOLASTICA+ PRE POST SCUOLA</t>
  </si>
  <si>
    <t>ASSISTENZA DOMICILIARE MINORI + INCLUSIVE CARE COMUNE FRANCAVILLA  + ASSISTENZA MINORI PER COMUNE FALCONARA</t>
  </si>
  <si>
    <t>SERVIZIO AMMINISTRATIVO</t>
  </si>
  <si>
    <t>SOSTITUZIONI PER VARI SERVIZI  AGENZIA INTERINALE</t>
  </si>
  <si>
    <t>SERVIZIO INTERNO PULIZIA</t>
  </si>
  <si>
    <t>TOTALI</t>
  </si>
  <si>
    <t>TOTALE ONERI SOCIALI PER SETTORI SERVIZI SOCIALI E FARMACIA</t>
  </si>
  <si>
    <t>TOTALE TRATTAMENTO DI FINE RAPPORTO-SETTORE SERVIZI SOCIALI E FARMACIA</t>
  </si>
  <si>
    <t>FARMACIE E SERVIZIO AMMINISTRATIVO</t>
  </si>
  <si>
    <t>a) salari e stipendi</t>
  </si>
  <si>
    <t xml:space="preserve">  SETTORE SERVIZI SOCIALI </t>
  </si>
  <si>
    <t xml:space="preserve">  SETTORE FARMACIE</t>
  </si>
  <si>
    <t>ANNO 2020 II SEMESTRE</t>
  </si>
  <si>
    <t>ANNO 2020 I TRIMESTRE 2021</t>
  </si>
  <si>
    <t>ANNO 2020 I° SEMESTRE</t>
  </si>
  <si>
    <t xml:space="preserve"> SETTORE SERVIZI SOCIALI </t>
  </si>
  <si>
    <t xml:space="preserve"> SETTORE FARMACIE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</si>
</sst>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18" fillId="0" borderId="11" xfId="0" applyFont="1" applyBorder="1"/>
    <xf numFmtId="0" fontId="18" fillId="0" borderId="10" xfId="0" applyFont="1" applyBorder="1"/>
    <xf numFmtId="0" fontId="18" fillId="33" borderId="10" xfId="0" applyFont="1" applyFill="1" applyBorder="1"/>
    <xf numFmtId="0" fontId="20" fillId="0" borderId="14" xfId="0" applyFont="1" applyBorder="1"/>
    <xf numFmtId="2" fontId="20" fillId="0" borderId="15" xfId="0" applyNumberFormat="1" applyFont="1" applyBorder="1"/>
    <xf numFmtId="0" fontId="19" fillId="0" borderId="14" xfId="0" applyFont="1" applyBorder="1"/>
    <xf numFmtId="0" fontId="18" fillId="33" borderId="16" xfId="0" applyFont="1" applyFill="1" applyBorder="1"/>
    <xf numFmtId="0" fontId="18" fillId="33" borderId="17" xfId="0" applyFont="1" applyFill="1" applyBorder="1"/>
    <xf numFmtId="0" fontId="21" fillId="33" borderId="10" xfId="0" applyFont="1" applyFill="1" applyBorder="1"/>
    <xf numFmtId="44" fontId="0" fillId="0" borderId="0" xfId="1" applyFont="1"/>
    <xf numFmtId="44" fontId="0" fillId="0" borderId="0" xfId="0" applyNumberFormat="1"/>
    <xf numFmtId="44" fontId="20" fillId="0" borderId="15" xfId="1" applyFont="1" applyBorder="1"/>
    <xf numFmtId="44" fontId="19" fillId="0" borderId="15" xfId="1" applyFont="1" applyBorder="1"/>
    <xf numFmtId="44" fontId="20" fillId="0" borderId="0" xfId="1" applyFont="1"/>
    <xf numFmtId="44" fontId="19" fillId="0" borderId="10" xfId="1" applyFont="1" applyBorder="1"/>
    <xf numFmtId="0" fontId="20" fillId="0" borderId="0" xfId="0" applyFont="1"/>
    <xf numFmtId="164" fontId="20" fillId="0" borderId="0" xfId="1" applyNumberFormat="1" applyFont="1"/>
    <xf numFmtId="0" fontId="18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164" fontId="21" fillId="0" borderId="10" xfId="1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5C5FA-DA17-4ACE-A57C-7BDBE0FD46D9}">
  <dimension ref="A1:E49"/>
  <sheetViews>
    <sheetView workbookViewId="0">
      <selection activeCell="A10" sqref="A1:A1048576"/>
    </sheetView>
  </sheetViews>
  <sheetFormatPr defaultRowHeight="15" x14ac:dyDescent="0.25"/>
  <cols>
    <col min="1" max="1" width="99.5703125" customWidth="1"/>
    <col min="2" max="2" width="23.42578125" customWidth="1"/>
    <col min="3" max="3" width="19.28515625" customWidth="1"/>
    <col min="4" max="4" width="27.5703125" style="1" customWidth="1"/>
    <col min="5" max="5" width="19.28515625" customWidth="1"/>
  </cols>
  <sheetData>
    <row r="1" spans="1:5" x14ac:dyDescent="0.25">
      <c r="A1" s="23" t="s">
        <v>41</v>
      </c>
      <c r="B1" s="24"/>
    </row>
    <row r="2" spans="1:5" x14ac:dyDescent="0.25">
      <c r="A2" s="5"/>
      <c r="B2" s="6"/>
    </row>
    <row r="3" spans="1:5" x14ac:dyDescent="0.25">
      <c r="A3" s="5" t="s">
        <v>6</v>
      </c>
      <c r="B3" s="13">
        <v>757876</v>
      </c>
    </row>
    <row r="4" spans="1:5" x14ac:dyDescent="0.25">
      <c r="A4" s="5" t="s">
        <v>7</v>
      </c>
      <c r="B4" s="13">
        <v>2400</v>
      </c>
    </row>
    <row r="5" spans="1:5" x14ac:dyDescent="0.25">
      <c r="A5" s="5" t="s">
        <v>8</v>
      </c>
      <c r="B5" s="13">
        <v>2031</v>
      </c>
    </row>
    <row r="6" spans="1:5" x14ac:dyDescent="0.25">
      <c r="A6" s="5" t="s">
        <v>9</v>
      </c>
      <c r="B6" s="13"/>
    </row>
    <row r="7" spans="1:5" x14ac:dyDescent="0.25">
      <c r="A7" s="5" t="s">
        <v>37</v>
      </c>
      <c r="B7" s="13">
        <v>480769</v>
      </c>
      <c r="C7" s="12"/>
    </row>
    <row r="8" spans="1:5" x14ac:dyDescent="0.25">
      <c r="A8" s="5" t="s">
        <v>10</v>
      </c>
      <c r="B8" s="13">
        <v>90730</v>
      </c>
      <c r="C8" s="12"/>
    </row>
    <row r="9" spans="1:5" x14ac:dyDescent="0.25">
      <c r="A9" s="5" t="s">
        <v>11</v>
      </c>
      <c r="B9" s="13">
        <v>41891</v>
      </c>
    </row>
    <row r="10" spans="1:5" x14ac:dyDescent="0.25">
      <c r="A10" s="5" t="s">
        <v>12</v>
      </c>
      <c r="B10" s="13">
        <v>4054</v>
      </c>
    </row>
    <row r="11" spans="1:5" x14ac:dyDescent="0.25">
      <c r="A11" s="5" t="s">
        <v>13</v>
      </c>
      <c r="B11" s="13">
        <f>(26231+27532)/12*3</f>
        <v>13440.75</v>
      </c>
    </row>
    <row r="12" spans="1:5" x14ac:dyDescent="0.25">
      <c r="A12" s="5" t="s">
        <v>14</v>
      </c>
      <c r="B12" s="13">
        <f>493533-(143010+142799+230269)</f>
        <v>-22545</v>
      </c>
    </row>
    <row r="13" spans="1:5" x14ac:dyDescent="0.25">
      <c r="A13" s="5" t="s">
        <v>15</v>
      </c>
      <c r="B13" s="13">
        <f>(2142+82848+47200)</f>
        <v>132190</v>
      </c>
      <c r="C13" s="12"/>
    </row>
    <row r="14" spans="1:5" x14ac:dyDescent="0.25">
      <c r="A14" s="7" t="s">
        <v>16</v>
      </c>
      <c r="B14" s="14">
        <f>SUM(B3:B13)</f>
        <v>1502836.75</v>
      </c>
    </row>
    <row r="15" spans="1:5" x14ac:dyDescent="0.25">
      <c r="B15" s="11"/>
    </row>
    <row r="16" spans="1:5" ht="38.25" x14ac:dyDescent="0.25">
      <c r="A16" s="20" t="s">
        <v>0</v>
      </c>
      <c r="B16" s="20" t="s">
        <v>17</v>
      </c>
      <c r="C16" s="21" t="s">
        <v>34</v>
      </c>
      <c r="D16" s="22" t="s">
        <v>35</v>
      </c>
      <c r="E16" s="20" t="s">
        <v>18</v>
      </c>
    </row>
    <row r="17" spans="1:5" ht="15.75" x14ac:dyDescent="0.3">
      <c r="A17" s="2" t="s">
        <v>19</v>
      </c>
      <c r="B17" s="15">
        <f>21805</f>
        <v>21805</v>
      </c>
      <c r="C17" s="15"/>
      <c r="D17" s="15"/>
      <c r="E17" s="15">
        <f>968+968</f>
        <v>1936</v>
      </c>
    </row>
    <row r="18" spans="1:5" ht="15.75" x14ac:dyDescent="0.3">
      <c r="A18" s="3" t="s">
        <v>28</v>
      </c>
      <c r="B18" s="15">
        <f>133420+15167</f>
        <v>148587</v>
      </c>
      <c r="C18" s="15"/>
      <c r="D18" s="15"/>
      <c r="E18" s="15">
        <v>0</v>
      </c>
    </row>
    <row r="19" spans="1:5" ht="15.75" x14ac:dyDescent="0.3">
      <c r="A19" s="3" t="s">
        <v>1</v>
      </c>
      <c r="B19" s="15">
        <f>7245</f>
        <v>7245</v>
      </c>
      <c r="C19" s="15"/>
      <c r="D19" s="15"/>
      <c r="E19" s="15">
        <v>427</v>
      </c>
    </row>
    <row r="20" spans="1:5" ht="15.75" x14ac:dyDescent="0.3">
      <c r="A20" s="3" t="s">
        <v>29</v>
      </c>
      <c r="B20" s="15">
        <f>21398+974</f>
        <v>22372</v>
      </c>
      <c r="C20" s="15"/>
      <c r="D20" s="15"/>
      <c r="E20" s="15"/>
    </row>
    <row r="21" spans="1:5" ht="15.75" x14ac:dyDescent="0.3">
      <c r="A21" s="3" t="s">
        <v>21</v>
      </c>
      <c r="B21" s="15">
        <f>27953</f>
        <v>27953</v>
      </c>
      <c r="C21" s="15"/>
      <c r="D21" s="15"/>
      <c r="E21" s="15">
        <v>427</v>
      </c>
    </row>
    <row r="22" spans="1:5" ht="15.75" x14ac:dyDescent="0.3">
      <c r="A22" s="3" t="s">
        <v>22</v>
      </c>
      <c r="B22" s="15">
        <f>26906</f>
        <v>26906</v>
      </c>
      <c r="C22" s="15"/>
      <c r="D22" s="15"/>
      <c r="E22" s="15">
        <v>427</v>
      </c>
    </row>
    <row r="23" spans="1:5" ht="15.75" x14ac:dyDescent="0.3">
      <c r="A23" s="3" t="s">
        <v>2</v>
      </c>
      <c r="B23" s="15">
        <v>4960</v>
      </c>
      <c r="C23" s="15"/>
      <c r="D23" s="15"/>
      <c r="E23" s="15">
        <v>245</v>
      </c>
    </row>
    <row r="24" spans="1:5" ht="15.75" x14ac:dyDescent="0.3">
      <c r="A24" s="3" t="s">
        <v>20</v>
      </c>
      <c r="B24" s="15">
        <f>23717+2398</f>
        <v>26115</v>
      </c>
      <c r="C24" s="15"/>
      <c r="D24" s="15"/>
      <c r="E24" s="15">
        <f>81+38</f>
        <v>119</v>
      </c>
    </row>
    <row r="25" spans="1:5" ht="15.75" x14ac:dyDescent="0.3">
      <c r="A25" s="3" t="s">
        <v>23</v>
      </c>
      <c r="B25" s="15">
        <v>5195</v>
      </c>
      <c r="C25" s="15"/>
      <c r="D25" s="15"/>
      <c r="E25" s="15"/>
    </row>
    <row r="26" spans="1:5" ht="15.75" x14ac:dyDescent="0.3">
      <c r="A26" s="3" t="s">
        <v>27</v>
      </c>
      <c r="B26" s="15">
        <v>2898</v>
      </c>
      <c r="C26" s="15"/>
      <c r="D26" s="15"/>
      <c r="E26" s="15"/>
    </row>
    <row r="27" spans="1:5" ht="15.75" x14ac:dyDescent="0.3">
      <c r="A27" s="3" t="s">
        <v>3</v>
      </c>
      <c r="B27" s="15">
        <v>10648</v>
      </c>
      <c r="C27" s="15"/>
      <c r="D27" s="15"/>
      <c r="E27" s="15">
        <f>399+74</f>
        <v>473</v>
      </c>
    </row>
    <row r="28" spans="1:5" ht="15.75" x14ac:dyDescent="0.3">
      <c r="A28" s="3" t="s">
        <v>24</v>
      </c>
      <c r="B28" s="15"/>
      <c r="C28" s="15"/>
      <c r="D28" s="15"/>
      <c r="E28" s="15"/>
    </row>
    <row r="29" spans="1:5" ht="15.75" x14ac:dyDescent="0.3">
      <c r="A29" s="3" t="s">
        <v>25</v>
      </c>
      <c r="B29" s="15">
        <v>6507</v>
      </c>
      <c r="C29" s="15"/>
      <c r="D29" s="15"/>
      <c r="E29" s="15"/>
    </row>
    <row r="30" spans="1:5" ht="15.75" x14ac:dyDescent="0.3">
      <c r="A30" s="3" t="s">
        <v>4</v>
      </c>
      <c r="B30" s="15"/>
      <c r="C30" s="15"/>
      <c r="D30" s="15"/>
      <c r="E30" s="15"/>
    </row>
    <row r="31" spans="1:5" ht="15.75" x14ac:dyDescent="0.3">
      <c r="A31" s="4" t="s">
        <v>5</v>
      </c>
      <c r="B31" s="15"/>
      <c r="C31" s="15"/>
      <c r="D31" s="15"/>
      <c r="E31" s="15"/>
    </row>
    <row r="32" spans="1:5" ht="15.75" x14ac:dyDescent="0.3">
      <c r="A32" s="4" t="s">
        <v>31</v>
      </c>
      <c r="B32" s="15">
        <v>61160</v>
      </c>
      <c r="C32" s="15"/>
      <c r="D32" s="15"/>
      <c r="E32" s="15"/>
    </row>
    <row r="33" spans="1:5" ht="15.75" x14ac:dyDescent="0.3">
      <c r="A33" s="4" t="s">
        <v>26</v>
      </c>
      <c r="B33" s="15"/>
      <c r="C33" s="15"/>
      <c r="D33" s="15"/>
      <c r="E33" s="15"/>
    </row>
    <row r="34" spans="1:5" ht="15.75" x14ac:dyDescent="0.3">
      <c r="A34" s="4" t="s">
        <v>30</v>
      </c>
      <c r="B34" s="15">
        <v>43511</v>
      </c>
      <c r="C34" s="15"/>
      <c r="D34" s="15"/>
      <c r="E34" s="15"/>
    </row>
    <row r="35" spans="1:5" ht="15.75" x14ac:dyDescent="0.3">
      <c r="A35" s="8" t="s">
        <v>32</v>
      </c>
      <c r="B35" s="15">
        <v>0</v>
      </c>
      <c r="C35" s="17"/>
      <c r="D35" s="18"/>
      <c r="E35" s="15"/>
    </row>
    <row r="36" spans="1:5" ht="15.75" x14ac:dyDescent="0.3">
      <c r="A36" s="9" t="s">
        <v>36</v>
      </c>
      <c r="B36" s="15">
        <v>64907</v>
      </c>
      <c r="C36" s="17"/>
      <c r="D36" s="18"/>
      <c r="E36" s="15"/>
    </row>
    <row r="37" spans="1:5" ht="15.75" x14ac:dyDescent="0.3">
      <c r="A37" s="19" t="s">
        <v>43</v>
      </c>
      <c r="B37" s="15"/>
      <c r="C37" s="15">
        <v>64142</v>
      </c>
      <c r="D37" s="15">
        <f>121670/12*3</f>
        <v>30417.5</v>
      </c>
      <c r="E37" s="15"/>
    </row>
    <row r="38" spans="1:5" ht="15.75" x14ac:dyDescent="0.3">
      <c r="A38" s="19" t="s">
        <v>44</v>
      </c>
      <c r="B38" s="15"/>
      <c r="C38" s="15">
        <f>10219+16369</f>
        <v>26588</v>
      </c>
      <c r="D38" s="15">
        <f>45897/12*3</f>
        <v>11474.25</v>
      </c>
      <c r="E38" s="15"/>
    </row>
    <row r="39" spans="1:5" ht="15.75" x14ac:dyDescent="0.3">
      <c r="A39" s="9"/>
      <c r="B39" s="15"/>
      <c r="C39" s="15"/>
      <c r="D39" s="15"/>
      <c r="E39" s="15"/>
    </row>
    <row r="40" spans="1:5" x14ac:dyDescent="0.25">
      <c r="A40" s="10" t="s">
        <v>33</v>
      </c>
      <c r="B40" s="16">
        <f>SUM(B17:B36)</f>
        <v>480769</v>
      </c>
      <c r="C40" s="16">
        <f>SUM(C17:C38)</f>
        <v>90730</v>
      </c>
      <c r="D40" s="16">
        <f>SUM(D17:D38)</f>
        <v>41891.75</v>
      </c>
      <c r="E40" s="16">
        <f t="shared" ref="E40" si="0">SUM(E17:E36)</f>
        <v>4054</v>
      </c>
    </row>
    <row r="42" spans="1:5" x14ac:dyDescent="0.25">
      <c r="B42" s="12"/>
      <c r="C42" s="12"/>
    </row>
    <row r="43" spans="1:5" x14ac:dyDescent="0.25">
      <c r="B43" s="12"/>
    </row>
    <row r="44" spans="1:5" x14ac:dyDescent="0.25">
      <c r="B44" s="12"/>
    </row>
    <row r="45" spans="1:5" x14ac:dyDescent="0.25">
      <c r="B45" s="12"/>
    </row>
    <row r="46" spans="1:5" x14ac:dyDescent="0.25">
      <c r="B46" s="12"/>
    </row>
    <row r="47" spans="1:5" x14ac:dyDescent="0.25">
      <c r="B47" s="12"/>
    </row>
    <row r="49" spans="2:2" x14ac:dyDescent="0.25">
      <c r="B49" s="1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D354A-0548-4CF2-AA26-89D8BD28F63A}">
  <dimension ref="A1:E49"/>
  <sheetViews>
    <sheetView workbookViewId="0">
      <selection activeCell="A16" sqref="A16:E16"/>
    </sheetView>
  </sheetViews>
  <sheetFormatPr defaultRowHeight="15" x14ac:dyDescent="0.25"/>
  <cols>
    <col min="1" max="1" width="100.42578125" customWidth="1"/>
    <col min="2" max="2" width="23.42578125" customWidth="1"/>
    <col min="3" max="3" width="19.28515625" customWidth="1"/>
    <col min="4" max="4" width="27.5703125" style="1" customWidth="1"/>
    <col min="5" max="5" width="19.28515625" customWidth="1"/>
  </cols>
  <sheetData>
    <row r="1" spans="1:5" x14ac:dyDescent="0.25">
      <c r="A1" s="23" t="s">
        <v>40</v>
      </c>
      <c r="B1" s="24"/>
    </row>
    <row r="2" spans="1:5" x14ac:dyDescent="0.25">
      <c r="A2" s="5"/>
      <c r="B2" s="6"/>
    </row>
    <row r="3" spans="1:5" x14ac:dyDescent="0.25">
      <c r="A3" s="5" t="s">
        <v>6</v>
      </c>
      <c r="B3" s="13">
        <f>2942955-1517981</f>
        <v>1424974</v>
      </c>
    </row>
    <row r="4" spans="1:5" x14ac:dyDescent="0.25">
      <c r="A4" s="5" t="s">
        <v>7</v>
      </c>
      <c r="B4" s="13">
        <f>(19255-8904)-(8901-5146)</f>
        <v>6596</v>
      </c>
    </row>
    <row r="5" spans="1:5" x14ac:dyDescent="0.25">
      <c r="A5" s="5" t="s">
        <v>8</v>
      </c>
      <c r="B5" s="13">
        <f>9904-5146</f>
        <v>4758</v>
      </c>
    </row>
    <row r="6" spans="1:5" x14ac:dyDescent="0.25">
      <c r="A6" s="5" t="s">
        <v>9</v>
      </c>
      <c r="B6" s="13"/>
    </row>
    <row r="7" spans="1:5" x14ac:dyDescent="0.25">
      <c r="A7" s="5" t="s">
        <v>37</v>
      </c>
      <c r="B7" s="13">
        <v>1126072</v>
      </c>
    </row>
    <row r="8" spans="1:5" x14ac:dyDescent="0.25">
      <c r="A8" s="5" t="s">
        <v>10</v>
      </c>
      <c r="B8" s="13">
        <v>272901</v>
      </c>
    </row>
    <row r="9" spans="1:5" x14ac:dyDescent="0.25">
      <c r="A9" s="5" t="s">
        <v>11</v>
      </c>
      <c r="B9" s="13">
        <v>83783.5</v>
      </c>
    </row>
    <row r="10" spans="1:5" x14ac:dyDescent="0.25">
      <c r="A10" s="5" t="s">
        <v>12</v>
      </c>
      <c r="B10" s="13">
        <v>13788</v>
      </c>
    </row>
    <row r="11" spans="1:5" x14ac:dyDescent="0.25">
      <c r="A11" s="5" t="s">
        <v>13</v>
      </c>
      <c r="B11" s="13">
        <f>(26231+27532)/2</f>
        <v>26881.5</v>
      </c>
    </row>
    <row r="12" spans="1:5" x14ac:dyDescent="0.25">
      <c r="A12" s="5" t="s">
        <v>14</v>
      </c>
      <c r="B12" s="13">
        <f>506095-493534</f>
        <v>12561</v>
      </c>
    </row>
    <row r="13" spans="1:5" x14ac:dyDescent="0.25">
      <c r="A13" s="5" t="s">
        <v>15</v>
      </c>
      <c r="B13" s="13">
        <f>(19577+338603+233704)-(3550+171676+168318)</f>
        <v>248340</v>
      </c>
      <c r="C13" s="12"/>
    </row>
    <row r="14" spans="1:5" x14ac:dyDescent="0.25">
      <c r="A14" s="7" t="s">
        <v>16</v>
      </c>
      <c r="B14" s="14">
        <f>SUM(B3:B13)</f>
        <v>3220655</v>
      </c>
    </row>
    <row r="15" spans="1:5" x14ac:dyDescent="0.25">
      <c r="B15" s="11"/>
    </row>
    <row r="16" spans="1:5" ht="38.25" x14ac:dyDescent="0.25">
      <c r="A16" s="20" t="s">
        <v>0</v>
      </c>
      <c r="B16" s="20" t="s">
        <v>17</v>
      </c>
      <c r="C16" s="21" t="s">
        <v>34</v>
      </c>
      <c r="D16" s="22" t="s">
        <v>35</v>
      </c>
      <c r="E16" s="20" t="s">
        <v>18</v>
      </c>
    </row>
    <row r="17" spans="1:5" ht="15.75" x14ac:dyDescent="0.3">
      <c r="A17" s="2" t="s">
        <v>19</v>
      </c>
      <c r="B17" s="15">
        <f>81167-25098</f>
        <v>56069</v>
      </c>
      <c r="C17" s="15"/>
      <c r="D17" s="15"/>
      <c r="E17" s="15">
        <f>(8904+5274+2115)-(5146+2304+856)</f>
        <v>7987</v>
      </c>
    </row>
    <row r="18" spans="1:5" ht="15.75" x14ac:dyDescent="0.3">
      <c r="A18" s="3" t="s">
        <v>28</v>
      </c>
      <c r="B18" s="15">
        <f>(312023+50546)-(102871+20112)</f>
        <v>239586</v>
      </c>
      <c r="C18" s="15"/>
      <c r="D18" s="15"/>
      <c r="E18" s="15">
        <f>97-13</f>
        <v>84</v>
      </c>
    </row>
    <row r="19" spans="1:5" ht="15.75" x14ac:dyDescent="0.3">
      <c r="A19" s="3" t="s">
        <v>1</v>
      </c>
      <c r="B19" s="15">
        <f>54554-20749</f>
        <v>33805</v>
      </c>
      <c r="C19" s="15"/>
      <c r="D19" s="15"/>
      <c r="E19" s="15">
        <f>2383-1214</f>
        <v>1169</v>
      </c>
    </row>
    <row r="20" spans="1:5" ht="15.75" x14ac:dyDescent="0.3">
      <c r="A20" s="3" t="s">
        <v>29</v>
      </c>
      <c r="B20" s="15">
        <f>(77795+4703)-(39814+2003)</f>
        <v>40681</v>
      </c>
      <c r="C20" s="15"/>
      <c r="D20" s="15"/>
      <c r="E20" s="15"/>
    </row>
    <row r="21" spans="1:5" ht="15.75" x14ac:dyDescent="0.3">
      <c r="A21" s="3" t="s">
        <v>21</v>
      </c>
      <c r="B21" s="15">
        <f>126229-51644</f>
        <v>74585</v>
      </c>
      <c r="C21" s="15"/>
      <c r="D21" s="15"/>
      <c r="E21" s="15">
        <f>2310-1140</f>
        <v>1170</v>
      </c>
    </row>
    <row r="22" spans="1:5" ht="15.75" x14ac:dyDescent="0.3">
      <c r="A22" s="3" t="s">
        <v>22</v>
      </c>
      <c r="B22" s="15">
        <f>136620-65570</f>
        <v>71050</v>
      </c>
      <c r="C22" s="15"/>
      <c r="D22" s="15"/>
      <c r="E22" s="15">
        <f>2729-1493</f>
        <v>1236</v>
      </c>
    </row>
    <row r="23" spans="1:5" ht="15.75" x14ac:dyDescent="0.3">
      <c r="A23" s="3" t="s">
        <v>2</v>
      </c>
      <c r="B23" s="15">
        <f>21877-9964</f>
        <v>11913</v>
      </c>
      <c r="C23" s="15"/>
      <c r="D23" s="15"/>
      <c r="E23" s="15"/>
    </row>
    <row r="24" spans="1:5" ht="15.75" x14ac:dyDescent="0.3">
      <c r="A24" s="3" t="s">
        <v>20</v>
      </c>
      <c r="B24" s="15">
        <f>(93569+8086)-(40882+2866)</f>
        <v>57907</v>
      </c>
      <c r="C24" s="15"/>
      <c r="D24" s="15"/>
      <c r="E24" s="15">
        <f>(341+2197+446+1500)-(124+41+1000+575+602)</f>
        <v>2142</v>
      </c>
    </row>
    <row r="25" spans="1:5" ht="15.75" x14ac:dyDescent="0.3">
      <c r="A25" s="3" t="s">
        <v>23</v>
      </c>
      <c r="B25" s="15">
        <f>23198-10653</f>
        <v>12545</v>
      </c>
      <c r="C25" s="15"/>
      <c r="D25" s="15"/>
      <c r="E25" s="15"/>
    </row>
    <row r="26" spans="1:5" ht="15.75" x14ac:dyDescent="0.3">
      <c r="A26" s="3" t="s">
        <v>27</v>
      </c>
      <c r="B26" s="15">
        <f>12891-6045</f>
        <v>6846</v>
      </c>
      <c r="C26" s="15"/>
      <c r="D26" s="15"/>
      <c r="E26" s="15"/>
    </row>
    <row r="27" spans="1:5" ht="15.75" x14ac:dyDescent="0.3">
      <c r="A27" s="3" t="s">
        <v>3</v>
      </c>
      <c r="B27" s="15">
        <f>47336-21649</f>
        <v>25687</v>
      </c>
      <c r="C27" s="15"/>
      <c r="D27" s="15"/>
      <c r="E27" s="15"/>
    </row>
    <row r="28" spans="1:5" ht="15.75" x14ac:dyDescent="0.3">
      <c r="A28" s="3" t="s">
        <v>24</v>
      </c>
      <c r="B28" s="15"/>
      <c r="C28" s="15"/>
      <c r="D28" s="15"/>
      <c r="E28" s="15"/>
    </row>
    <row r="29" spans="1:5" ht="15.75" x14ac:dyDescent="0.3">
      <c r="A29" s="3" t="s">
        <v>25</v>
      </c>
      <c r="B29" s="15">
        <f>28966-12938</f>
        <v>16028</v>
      </c>
      <c r="C29" s="15"/>
      <c r="D29" s="15"/>
      <c r="E29" s="15"/>
    </row>
    <row r="30" spans="1:5" ht="15.75" x14ac:dyDescent="0.3">
      <c r="A30" s="3" t="s">
        <v>4</v>
      </c>
      <c r="B30" s="15"/>
      <c r="C30" s="15"/>
      <c r="D30" s="15"/>
      <c r="E30" s="15"/>
    </row>
    <row r="31" spans="1:5" ht="15.75" x14ac:dyDescent="0.3">
      <c r="A31" s="4" t="s">
        <v>5</v>
      </c>
      <c r="B31" s="15"/>
      <c r="C31" s="15"/>
      <c r="D31" s="15"/>
      <c r="E31" s="15"/>
    </row>
    <row r="32" spans="1:5" ht="15.75" x14ac:dyDescent="0.3">
      <c r="A32" s="4" t="s">
        <v>31</v>
      </c>
      <c r="B32" s="15">
        <f>196243-88469</f>
        <v>107774</v>
      </c>
      <c r="C32" s="15"/>
      <c r="D32" s="15"/>
      <c r="E32" s="15"/>
    </row>
    <row r="33" spans="1:5" ht="15.75" x14ac:dyDescent="0.3">
      <c r="A33" s="4" t="s">
        <v>26</v>
      </c>
      <c r="B33" s="15"/>
      <c r="C33" s="15"/>
      <c r="D33" s="15"/>
      <c r="E33" s="15"/>
    </row>
    <row r="34" spans="1:5" ht="15.75" x14ac:dyDescent="0.3">
      <c r="A34" s="4" t="s">
        <v>30</v>
      </c>
      <c r="B34" s="15">
        <f>128160-55887</f>
        <v>72273</v>
      </c>
      <c r="C34" s="15"/>
      <c r="D34" s="15"/>
      <c r="E34" s="15"/>
    </row>
    <row r="35" spans="1:5" ht="15.75" x14ac:dyDescent="0.3">
      <c r="A35" s="8" t="s">
        <v>32</v>
      </c>
      <c r="B35" s="15">
        <f>4085-3058</f>
        <v>1027</v>
      </c>
      <c r="C35" s="17"/>
      <c r="D35" s="18"/>
      <c r="E35" s="15"/>
    </row>
    <row r="36" spans="1:5" ht="15.75" x14ac:dyDescent="0.3">
      <c r="A36" s="9" t="s">
        <v>36</v>
      </c>
      <c r="B36" s="15">
        <f>566636-(257457+10853+30)</f>
        <v>298296</v>
      </c>
      <c r="C36" s="17"/>
      <c r="D36" s="18"/>
      <c r="E36" s="15"/>
    </row>
    <row r="37" spans="1:5" ht="15.75" x14ac:dyDescent="0.3">
      <c r="A37" s="19" t="s">
        <v>38</v>
      </c>
      <c r="B37" s="15"/>
      <c r="C37" s="15">
        <f>(359443+7303/2)-(198946+(7303/2))</f>
        <v>160497</v>
      </c>
      <c r="D37" s="15">
        <f>121670/2</f>
        <v>60835</v>
      </c>
      <c r="E37" s="15"/>
    </row>
    <row r="38" spans="1:5" ht="15.75" x14ac:dyDescent="0.3">
      <c r="A38" s="19" t="s">
        <v>39</v>
      </c>
      <c r="B38" s="15"/>
      <c r="C38" s="15">
        <f>(54779+123368+1050)-(18617+45061+1050+2065)</f>
        <v>112404</v>
      </c>
      <c r="D38" s="15">
        <f>45897/2</f>
        <v>22948.5</v>
      </c>
      <c r="E38" s="15"/>
    </row>
    <row r="39" spans="1:5" ht="15.75" x14ac:dyDescent="0.3">
      <c r="A39" s="9"/>
      <c r="B39" s="15"/>
      <c r="C39" s="15"/>
      <c r="D39" s="15"/>
      <c r="E39" s="15"/>
    </row>
    <row r="40" spans="1:5" x14ac:dyDescent="0.25">
      <c r="A40" s="10" t="s">
        <v>33</v>
      </c>
      <c r="B40" s="16">
        <f>SUM(B17:B36)</f>
        <v>1126072</v>
      </c>
      <c r="C40" s="16">
        <f>SUM(C17:C38)</f>
        <v>272901</v>
      </c>
      <c r="D40" s="16">
        <f>SUM(D17:D38)</f>
        <v>83783.5</v>
      </c>
      <c r="E40" s="16">
        <f t="shared" ref="E40" si="0">SUM(E17:E36)</f>
        <v>13788</v>
      </c>
    </row>
    <row r="42" spans="1:5" x14ac:dyDescent="0.25">
      <c r="B42" s="12"/>
      <c r="C42" s="12"/>
    </row>
    <row r="43" spans="1:5" x14ac:dyDescent="0.25">
      <c r="B43" s="12"/>
    </row>
    <row r="44" spans="1:5" x14ac:dyDescent="0.25">
      <c r="B44" s="12"/>
    </row>
    <row r="45" spans="1:5" x14ac:dyDescent="0.25">
      <c r="B45" s="12"/>
    </row>
    <row r="46" spans="1:5" x14ac:dyDescent="0.25">
      <c r="B46" s="12"/>
    </row>
    <row r="47" spans="1:5" x14ac:dyDescent="0.25">
      <c r="B47" s="12"/>
    </row>
    <row r="49" spans="2:2" x14ac:dyDescent="0.25">
      <c r="B49" s="1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workbookViewId="0">
      <selection activeCell="A16" sqref="A16:E16"/>
    </sheetView>
  </sheetViews>
  <sheetFormatPr defaultRowHeight="15" x14ac:dyDescent="0.25"/>
  <cols>
    <col min="1" max="1" width="90.5703125" customWidth="1"/>
    <col min="2" max="2" width="23.42578125" customWidth="1"/>
    <col min="3" max="3" width="19.28515625" customWidth="1"/>
    <col min="4" max="4" width="27.5703125" style="1" customWidth="1"/>
    <col min="5" max="5" width="19.28515625" customWidth="1"/>
  </cols>
  <sheetData>
    <row r="1" spans="1:5" x14ac:dyDescent="0.25">
      <c r="A1" s="23" t="s">
        <v>42</v>
      </c>
      <c r="B1" s="24"/>
    </row>
    <row r="2" spans="1:5" x14ac:dyDescent="0.25">
      <c r="A2" s="5"/>
      <c r="B2" s="6"/>
    </row>
    <row r="3" spans="1:5" x14ac:dyDescent="0.25">
      <c r="A3" s="5" t="s">
        <v>6</v>
      </c>
      <c r="B3" s="13">
        <v>1517981</v>
      </c>
    </row>
    <row r="4" spans="1:5" x14ac:dyDescent="0.25">
      <c r="A4" s="5" t="s">
        <v>7</v>
      </c>
      <c r="B4" s="13">
        <f>8901-5146</f>
        <v>3755</v>
      </c>
    </row>
    <row r="5" spans="1:5" x14ac:dyDescent="0.25">
      <c r="A5" s="5" t="s">
        <v>8</v>
      </c>
      <c r="B5" s="13">
        <f>5146</f>
        <v>5146</v>
      </c>
    </row>
    <row r="6" spans="1:5" x14ac:dyDescent="0.25">
      <c r="A6" s="5" t="s">
        <v>9</v>
      </c>
      <c r="B6" s="13"/>
    </row>
    <row r="7" spans="1:5" x14ac:dyDescent="0.25">
      <c r="A7" s="5" t="s">
        <v>37</v>
      </c>
      <c r="B7" s="13">
        <v>850725</v>
      </c>
    </row>
    <row r="8" spans="1:5" x14ac:dyDescent="0.25">
      <c r="A8" s="5" t="s">
        <v>10</v>
      </c>
      <c r="B8" s="13">
        <v>269390.5</v>
      </c>
    </row>
    <row r="9" spans="1:5" x14ac:dyDescent="0.25">
      <c r="A9" s="5" t="s">
        <v>11</v>
      </c>
      <c r="B9" s="13">
        <v>83783.5</v>
      </c>
    </row>
    <row r="10" spans="1:5" x14ac:dyDescent="0.25">
      <c r="A10" s="5" t="s">
        <v>12</v>
      </c>
      <c r="B10" s="13">
        <v>14508</v>
      </c>
    </row>
    <row r="11" spans="1:5" x14ac:dyDescent="0.25">
      <c r="A11" s="5" t="s">
        <v>13</v>
      </c>
      <c r="B11" s="13">
        <f>(26231+27532)/2</f>
        <v>26881.5</v>
      </c>
    </row>
    <row r="12" spans="1:5" x14ac:dyDescent="0.25">
      <c r="A12" s="5" t="s">
        <v>14</v>
      </c>
      <c r="B12" s="13">
        <f>506095-157463-159603-202612</f>
        <v>-13583</v>
      </c>
    </row>
    <row r="13" spans="1:5" x14ac:dyDescent="0.25">
      <c r="A13" s="5" t="s">
        <v>15</v>
      </c>
      <c r="B13" s="13">
        <f>3550+171676+168318</f>
        <v>343544</v>
      </c>
    </row>
    <row r="14" spans="1:5" x14ac:dyDescent="0.25">
      <c r="A14" s="7" t="s">
        <v>16</v>
      </c>
      <c r="B14" s="14"/>
    </row>
    <row r="15" spans="1:5" x14ac:dyDescent="0.25">
      <c r="B15" s="11"/>
    </row>
    <row r="16" spans="1:5" ht="38.25" x14ac:dyDescent="0.25">
      <c r="A16" s="20" t="s">
        <v>0</v>
      </c>
      <c r="B16" s="20" t="s">
        <v>17</v>
      </c>
      <c r="C16" s="21" t="s">
        <v>34</v>
      </c>
      <c r="D16" s="22" t="s">
        <v>35</v>
      </c>
      <c r="E16" s="20" t="s">
        <v>18</v>
      </c>
    </row>
    <row r="17" spans="1:5" ht="15.75" x14ac:dyDescent="0.3">
      <c r="A17" s="2" t="s">
        <v>19</v>
      </c>
      <c r="B17" s="15">
        <v>25098</v>
      </c>
      <c r="C17" s="15"/>
      <c r="D17" s="15"/>
      <c r="E17" s="15">
        <f>5146+2304+856</f>
        <v>8306</v>
      </c>
    </row>
    <row r="18" spans="1:5" ht="15.75" x14ac:dyDescent="0.3">
      <c r="A18" s="3" t="s">
        <v>28</v>
      </c>
      <c r="B18" s="15">
        <f>102871+20112</f>
        <v>122983</v>
      </c>
      <c r="C18" s="15"/>
      <c r="D18" s="15"/>
      <c r="E18" s="15">
        <f>13</f>
        <v>13</v>
      </c>
    </row>
    <row r="19" spans="1:5" ht="15.75" x14ac:dyDescent="0.3">
      <c r="A19" s="3" t="s">
        <v>1</v>
      </c>
      <c r="B19" s="15">
        <v>20749</v>
      </c>
      <c r="C19" s="15"/>
      <c r="D19" s="15"/>
      <c r="E19" s="15">
        <v>1214</v>
      </c>
    </row>
    <row r="20" spans="1:5" ht="15.75" x14ac:dyDescent="0.3">
      <c r="A20" s="3" t="s">
        <v>29</v>
      </c>
      <c r="B20" s="15">
        <f>39814+2003</f>
        <v>41817</v>
      </c>
      <c r="C20" s="15"/>
      <c r="D20" s="15"/>
      <c r="E20" s="15"/>
    </row>
    <row r="21" spans="1:5" ht="15.75" x14ac:dyDescent="0.3">
      <c r="A21" s="3" t="s">
        <v>21</v>
      </c>
      <c r="B21" s="15">
        <v>51644</v>
      </c>
      <c r="C21" s="15"/>
      <c r="D21" s="15"/>
      <c r="E21" s="15">
        <v>1140</v>
      </c>
    </row>
    <row r="22" spans="1:5" ht="15.75" x14ac:dyDescent="0.3">
      <c r="A22" s="3" t="s">
        <v>22</v>
      </c>
      <c r="B22" s="15">
        <v>65570</v>
      </c>
      <c r="C22" s="15"/>
      <c r="D22" s="15"/>
      <c r="E22" s="15">
        <v>1493</v>
      </c>
    </row>
    <row r="23" spans="1:5" ht="15.75" x14ac:dyDescent="0.3">
      <c r="A23" s="3" t="s">
        <v>2</v>
      </c>
      <c r="B23" s="15">
        <v>9964</v>
      </c>
      <c r="C23" s="15"/>
      <c r="D23" s="15"/>
      <c r="E23" s="15"/>
    </row>
    <row r="24" spans="1:5" ht="15.75" x14ac:dyDescent="0.3">
      <c r="A24" s="3" t="s">
        <v>20</v>
      </c>
      <c r="B24" s="15">
        <f>40882+2866</f>
        <v>43748</v>
      </c>
      <c r="C24" s="15"/>
      <c r="D24" s="15"/>
      <c r="E24" s="15">
        <f>124+41+1000+575+602</f>
        <v>2342</v>
      </c>
    </row>
    <row r="25" spans="1:5" ht="15.75" x14ac:dyDescent="0.3">
      <c r="A25" s="3" t="s">
        <v>23</v>
      </c>
      <c r="B25" s="15">
        <v>10653</v>
      </c>
      <c r="C25" s="15"/>
      <c r="D25" s="15"/>
      <c r="E25" s="15"/>
    </row>
    <row r="26" spans="1:5" ht="15.75" x14ac:dyDescent="0.3">
      <c r="A26" s="3" t="s">
        <v>27</v>
      </c>
      <c r="B26" s="15">
        <v>6045</v>
      </c>
      <c r="C26" s="15"/>
      <c r="D26" s="15"/>
      <c r="E26" s="15"/>
    </row>
    <row r="27" spans="1:5" ht="15.75" x14ac:dyDescent="0.3">
      <c r="A27" s="3" t="s">
        <v>3</v>
      </c>
      <c r="B27" s="15">
        <v>21649</v>
      </c>
      <c r="C27" s="15"/>
      <c r="D27" s="15"/>
      <c r="E27" s="15"/>
    </row>
    <row r="28" spans="1:5" ht="15.75" x14ac:dyDescent="0.3">
      <c r="A28" s="3" t="s">
        <v>24</v>
      </c>
      <c r="B28" s="15"/>
      <c r="C28" s="15"/>
      <c r="D28" s="15"/>
      <c r="E28" s="15"/>
    </row>
    <row r="29" spans="1:5" ht="15.75" x14ac:dyDescent="0.3">
      <c r="A29" s="3" t="s">
        <v>25</v>
      </c>
      <c r="B29" s="15">
        <v>12938</v>
      </c>
      <c r="C29" s="15"/>
      <c r="D29" s="15"/>
      <c r="E29" s="15"/>
    </row>
    <row r="30" spans="1:5" ht="15.75" x14ac:dyDescent="0.3">
      <c r="A30" s="3" t="s">
        <v>4</v>
      </c>
      <c r="B30" s="15"/>
      <c r="C30" s="15"/>
      <c r="D30" s="15"/>
      <c r="E30" s="15"/>
    </row>
    <row r="31" spans="1:5" ht="15.75" x14ac:dyDescent="0.3">
      <c r="A31" s="4" t="s">
        <v>5</v>
      </c>
      <c r="B31" s="15">
        <v>2113</v>
      </c>
      <c r="C31" s="15"/>
      <c r="D31" s="15"/>
      <c r="E31" s="15"/>
    </row>
    <row r="32" spans="1:5" ht="15.75" x14ac:dyDescent="0.3">
      <c r="A32" s="4" t="s">
        <v>31</v>
      </c>
      <c r="B32" s="15">
        <v>88469</v>
      </c>
      <c r="C32" s="15"/>
      <c r="D32" s="15"/>
      <c r="E32" s="15"/>
    </row>
    <row r="33" spans="1:5" ht="15.75" x14ac:dyDescent="0.3">
      <c r="A33" s="4" t="s">
        <v>26</v>
      </c>
      <c r="B33" s="15"/>
      <c r="C33" s="15"/>
      <c r="D33" s="15"/>
      <c r="E33" s="15"/>
    </row>
    <row r="34" spans="1:5" ht="15.75" x14ac:dyDescent="0.3">
      <c r="A34" s="4" t="s">
        <v>30</v>
      </c>
      <c r="B34" s="15">
        <v>55887</v>
      </c>
      <c r="C34" s="15"/>
      <c r="D34" s="15"/>
      <c r="E34" s="15"/>
    </row>
    <row r="35" spans="1:5" ht="15.75" x14ac:dyDescent="0.3">
      <c r="A35" s="8" t="s">
        <v>32</v>
      </c>
      <c r="B35" s="15">
        <v>3058</v>
      </c>
      <c r="C35" s="15">
        <f>198946+(7303/2)</f>
        <v>202597.5</v>
      </c>
      <c r="D35" s="15">
        <f>121670/2</f>
        <v>60835</v>
      </c>
      <c r="E35" s="15"/>
    </row>
    <row r="36" spans="1:5" ht="15.75" x14ac:dyDescent="0.3">
      <c r="A36" s="9" t="s">
        <v>36</v>
      </c>
      <c r="B36" s="15">
        <f>257457+10853+30</f>
        <v>268340</v>
      </c>
      <c r="C36" s="15">
        <f>18617+45061+1050+2065</f>
        <v>66793</v>
      </c>
      <c r="D36" s="15">
        <f>45897/2</f>
        <v>22948.5</v>
      </c>
      <c r="E36" s="15"/>
    </row>
    <row r="37" spans="1:5" ht="15.75" x14ac:dyDescent="0.3">
      <c r="A37" s="9"/>
      <c r="B37" s="15"/>
      <c r="C37" s="15"/>
      <c r="D37" s="15"/>
      <c r="E37" s="15"/>
    </row>
    <row r="38" spans="1:5" x14ac:dyDescent="0.25">
      <c r="A38" s="10" t="s">
        <v>33</v>
      </c>
      <c r="B38" s="16">
        <f>SUM(B17:B36)</f>
        <v>850725</v>
      </c>
      <c r="C38" s="16">
        <f t="shared" ref="C38:E38" si="0">SUM(C17:C36)</f>
        <v>269390.5</v>
      </c>
      <c r="D38" s="16">
        <f t="shared" si="0"/>
        <v>83783.5</v>
      </c>
      <c r="E38" s="16">
        <f t="shared" si="0"/>
        <v>14508</v>
      </c>
    </row>
    <row r="40" spans="1:5" x14ac:dyDescent="0.25">
      <c r="B40" s="12"/>
    </row>
    <row r="41" spans="1:5" x14ac:dyDescent="0.25">
      <c r="B41" s="12"/>
    </row>
    <row r="44" spans="1:5" x14ac:dyDescent="0.25">
      <c r="B44" s="1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ELENCO SPESA SERVIZI I TRIM'21</vt:lpstr>
      <vt:lpstr>ELENCO SPESA SERVIZI II SEM'20 </vt:lpstr>
      <vt:lpstr>ELENCO SPESA SERVIZI I SEM'20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Serano</dc:creator>
  <cp:lastModifiedBy>Sonia</cp:lastModifiedBy>
  <dcterms:created xsi:type="dcterms:W3CDTF">2021-03-08T13:39:17Z</dcterms:created>
  <dcterms:modified xsi:type="dcterms:W3CDTF">2021-05-31T17:15:02Z</dcterms:modified>
</cp:coreProperties>
</file>